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EVHLE9E\dati\saletta\Radioprotezione-SORGENTI RADIOGENE\"/>
    </mc:Choice>
  </mc:AlternateContent>
  <bookViews>
    <workbookView xWindow="0" yWindow="0" windowWidth="23040" windowHeight="9192"/>
  </bookViews>
  <sheets>
    <sheet name="Foglio1" sheetId="1" r:id="rId1"/>
  </sheets>
  <definedNames>
    <definedName name="_xlnm.Print_Area" localSheetId="0">Foglio1!$A$1:$L$64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9" i="1"/>
  <c r="J20" i="1"/>
  <c r="J21" i="1"/>
  <c r="J23" i="1"/>
  <c r="J24" i="1"/>
  <c r="J27" i="1"/>
  <c r="J10" i="1"/>
  <c r="J14" i="1"/>
  <c r="J15" i="1"/>
  <c r="J16" i="1"/>
  <c r="J17" i="1"/>
  <c r="I3" i="1"/>
  <c r="J3" i="1" s="1"/>
  <c r="B49" i="1" l="1"/>
  <c r="B47" i="1"/>
  <c r="B45" i="1"/>
  <c r="B43" i="1"/>
  <c r="B42" i="1"/>
  <c r="B41" i="1"/>
  <c r="B40" i="1"/>
  <c r="B38" i="1"/>
  <c r="B37" i="1"/>
  <c r="B36" i="1"/>
  <c r="B35" i="1"/>
  <c r="B34" i="1"/>
  <c r="B33" i="1"/>
  <c r="B30" i="1"/>
  <c r="B29" i="1"/>
  <c r="B28" i="1"/>
  <c r="K27" i="1"/>
  <c r="L27" i="1" s="1"/>
  <c r="K26" i="1"/>
  <c r="G26" i="1"/>
  <c r="J26" i="1" s="1"/>
  <c r="B26" i="1"/>
  <c r="B25" i="1"/>
  <c r="K24" i="1"/>
  <c r="B24" i="1"/>
  <c r="K23" i="1"/>
  <c r="B23" i="1"/>
  <c r="B22" i="1"/>
  <c r="K21" i="1"/>
  <c r="L21" i="1" s="1"/>
  <c r="K20" i="1"/>
  <c r="B20" i="1"/>
  <c r="K19" i="1"/>
  <c r="B19" i="1"/>
  <c r="B18" i="1"/>
  <c r="K17" i="1"/>
  <c r="B17" i="1"/>
  <c r="K16" i="1"/>
  <c r="L16" i="1" s="1"/>
  <c r="K15" i="1"/>
  <c r="L15" i="1" s="1"/>
  <c r="K14" i="1"/>
  <c r="L14" i="1" s="1"/>
  <c r="K10" i="1"/>
  <c r="L10" i="1" s="1"/>
  <c r="K9" i="1"/>
  <c r="L9" i="1" s="1"/>
  <c r="I5" i="1"/>
  <c r="J5" i="1" s="1"/>
  <c r="I4" i="1"/>
  <c r="J4" i="1" s="1"/>
  <c r="L23" i="1" l="1"/>
  <c r="L20" i="1"/>
  <c r="L19" i="1"/>
  <c r="L24" i="1"/>
  <c r="L26" i="1"/>
  <c r="L17" i="1"/>
</calcChain>
</file>

<file path=xl/sharedStrings.xml><?xml version="1.0" encoding="utf-8"?>
<sst xmlns="http://schemas.openxmlformats.org/spreadsheetml/2006/main" count="113" uniqueCount="79">
  <si>
    <t>Laboratorio …… Elenco sorgenti sigillate - anno 2018</t>
  </si>
  <si>
    <t>Giorni al</t>
  </si>
  <si>
    <t>Radioisotopo</t>
  </si>
  <si>
    <t>T1/2 (anni)</t>
  </si>
  <si>
    <t>ID-serial n</t>
  </si>
  <si>
    <t>Descrizione</t>
  </si>
  <si>
    <t>Provenienza-locazione</t>
  </si>
  <si>
    <t>Uso</t>
  </si>
  <si>
    <t>Attività certificata (Bq)</t>
  </si>
  <si>
    <t>Data Riferimento</t>
  </si>
  <si>
    <t>Attività al 31/12/18 (Bq)</t>
  </si>
  <si>
    <t>H-3</t>
  </si>
  <si>
    <t>6008501-3</t>
  </si>
  <si>
    <t>toluene series (set of 10) quenched standard</t>
  </si>
  <si>
    <t>AAS- LMR</t>
  </si>
  <si>
    <t>Taratura</t>
  </si>
  <si>
    <t>C-14</t>
  </si>
  <si>
    <t>6008502-12</t>
  </si>
  <si>
    <t>AAS-LMR</t>
  </si>
  <si>
    <t>Ba-133</t>
  </si>
  <si>
    <t>G.201</t>
  </si>
  <si>
    <t>External Standard (pastiglia)</t>
  </si>
  <si>
    <t>Tri-Carb 2800 TR</t>
  </si>
  <si>
    <t>Strumentazione</t>
  </si>
  <si>
    <t>……………………………………………………</t>
  </si>
  <si>
    <t>Laboratorio …… Elenco sorgenti non sigillate - anno 2018</t>
  </si>
  <si>
    <t>Sr-90</t>
  </si>
  <si>
    <t>…..</t>
  </si>
  <si>
    <t>Co-60</t>
  </si>
  <si>
    <t>……………………………………………………….</t>
  </si>
  <si>
    <t>Bibliografia di radionuclidi</t>
  </si>
  <si>
    <t>ESEMPI</t>
  </si>
  <si>
    <t>Na-22</t>
  </si>
  <si>
    <t>Na-24</t>
  </si>
  <si>
    <t>Mg-27</t>
  </si>
  <si>
    <t>-</t>
  </si>
  <si>
    <t>P-32</t>
  </si>
  <si>
    <t>P-33</t>
  </si>
  <si>
    <t>Cl-36</t>
  </si>
  <si>
    <t>Cl-38</t>
  </si>
  <si>
    <t>K-42</t>
  </si>
  <si>
    <t>Ca-45</t>
  </si>
  <si>
    <t>Ca-49</t>
  </si>
  <si>
    <t>Cr-51</t>
  </si>
  <si>
    <t>Fe-55</t>
  </si>
  <si>
    <t>Fe-59</t>
  </si>
  <si>
    <t>Mn-56</t>
  </si>
  <si>
    <t>Co-57</t>
  </si>
  <si>
    <t>Ni-63</t>
  </si>
  <si>
    <t>Cu-64</t>
  </si>
  <si>
    <t>Cu-66</t>
  </si>
  <si>
    <t>Zn-65</t>
  </si>
  <si>
    <t>Zn-69</t>
  </si>
  <si>
    <t>Sr-85</t>
  </si>
  <si>
    <t>Y-88</t>
  </si>
  <si>
    <t>Cd-109</t>
  </si>
  <si>
    <t>Sn-113</t>
  </si>
  <si>
    <t>I-125</t>
  </si>
  <si>
    <t>I-129</t>
  </si>
  <si>
    <t>Cs-137</t>
  </si>
  <si>
    <t>Ce-139</t>
  </si>
  <si>
    <t>Eu-152</t>
  </si>
  <si>
    <t>Po-210</t>
  </si>
  <si>
    <t>Ra-226</t>
  </si>
  <si>
    <t>U-238</t>
  </si>
  <si>
    <t>Am-241</t>
  </si>
  <si>
    <t>Attività rimasta (Bq)</t>
  </si>
  <si>
    <t>Matrice usata (%)</t>
  </si>
  <si>
    <t>_SONO COLONNE DI INPUT: QUELLE NON DI CALCOLO</t>
  </si>
  <si>
    <t>ALTRE NOTE:</t>
  </si>
  <si>
    <t>_IL REGISTRO DEVE ESSERE DATATO E FIRMATO DAL PREPOSTO ALLA RADIOPROTEZIONE</t>
  </si>
  <si>
    <t>_TENERLO SEMPRE AGGIORNATO (ACQUISTO E SMALTIMENTO SORGENTI)</t>
  </si>
  <si>
    <t>NOTE PER L'USO:</t>
  </si>
  <si>
    <t xml:space="preserve">_SONO COLONNE DI CALCOLO (A ECCEZIONE DELLE CELLE I2 e K8): PER LE SORGENTI SIGILLATE: I e J; PER LE SORGENTI NON SIGILLATE: J, K e L </t>
  </si>
  <si>
    <t>_PRENDERE I TEMPI DI DIMEZZAMENTO DELL'INDICATA BIBLIOGRAFIA (SONO IN ANNI) O RICHIEDERLI ALL'ESPERTO QUALIFICATO</t>
  </si>
  <si>
    <t>_SONO CELLE DI INPUT: I2 e K8 (CELLE GIALLE, CAMPO DATA)</t>
  </si>
  <si>
    <t>_SPEDIRLO AL PRESIDIO DI RADIOPROTEZIONE (EMILIANA SALETTA) ENTRO I PRIMI 15 GIORNI DELL'ANNO SUCCESSIVO A QUELLO DI RIFERIMENTO</t>
  </si>
  <si>
    <t xml:space="preserve">_SPEDIRE SEMPRE AL PRESIDIO DI RADIOPROTEZIONE (E. S.) COPIA DEI CERTIFICATI DELLE NUOVE SORGENTI AL LORO ACQUISTO </t>
  </si>
  <si>
    <t xml:space="preserve">_SPEDIRE SEMPRE AL PRESIDIO DI RADIOPROTEZIONE (E. S.) COPIA DELLA DOCUMENTAZIONE ATTESTANTE LO SMALTIMENTO DELLE SORGENTI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</si>
</sst>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/>
      <sz val="1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1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1" fontId="1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1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/>
    <xf numFmtId="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11" fontId="0" fillId="0" borderId="0" xfId="0" applyNumberFormat="1" applyFont="1"/>
    <xf numFmtId="0" fontId="0" fillId="0" borderId="0" xfId="0" applyFont="1" applyAlignment="1">
      <alignment horizontal="center"/>
    </xf>
    <xf numFmtId="14" fontId="2" fillId="3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/>
    <xf numFmtId="0" fontId="2" fillId="0" borderId="0" xfId="0" applyFont="1" applyFill="1" applyAlignment="1"/>
    <xf numFmtId="0" fontId="2" fillId="4" borderId="0" xfId="0" applyFont="1" applyFill="1" applyAlignment="1"/>
    <xf numFmtId="0" fontId="2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5" borderId="0" xfId="0" applyFont="1" applyFill="1" applyAlignment="1"/>
    <xf numFmtId="0" fontId="0" fillId="5" borderId="0" xfId="0" applyFill="1"/>
    <xf numFmtId="0" fontId="1" fillId="6" borderId="0" xfId="0" applyFont="1" applyFill="1" applyAlignment="1">
      <alignment horizontal="center"/>
    </xf>
    <xf numFmtId="0" fontId="1" fillId="6" borderId="0" xfId="0" applyNumberFormat="1" applyFont="1" applyFill="1" applyAlignment="1">
      <alignment horizontal="center"/>
    </xf>
    <xf numFmtId="0" fontId="1" fillId="6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N5" sqref="N5"/>
    </sheetView>
  </sheetViews>
  <sheetFormatPr defaultRowHeight="14.4" x14ac:dyDescent="0.3"/>
  <cols>
    <col min="1" max="1" width="13.33203125" customWidth="1"/>
    <col min="2" max="2" width="10.88671875" customWidth="1"/>
    <col min="3" max="3" width="11.6640625" customWidth="1"/>
    <col min="4" max="4" width="38.33203125" customWidth="1"/>
    <col min="5" max="5" width="15.88671875" customWidth="1"/>
    <col min="6" max="6" width="14.44140625" customWidth="1"/>
    <col min="7" max="7" width="14.88671875" customWidth="1"/>
    <col min="8" max="8" width="12.44140625" customWidth="1"/>
    <col min="9" max="9" width="12" customWidth="1"/>
    <col min="10" max="10" width="12.33203125" customWidth="1"/>
    <col min="11" max="11" width="12.5546875" customWidth="1"/>
    <col min="12" max="12" width="13.44140625" customWidth="1"/>
  </cols>
  <sheetData>
    <row r="1" spans="1:12" ht="18" x14ac:dyDescent="0.35">
      <c r="A1" s="47" t="s">
        <v>0</v>
      </c>
      <c r="B1" s="48"/>
      <c r="C1" s="48"/>
      <c r="D1" s="48"/>
      <c r="E1" s="48"/>
      <c r="F1" s="48"/>
      <c r="G1" s="48"/>
      <c r="H1" s="48"/>
      <c r="I1" s="1" t="s">
        <v>1</v>
      </c>
      <c r="J1" s="2"/>
    </row>
    <row r="2" spans="1:12" ht="42" x14ac:dyDescent="0.3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3" t="s">
        <v>7</v>
      </c>
      <c r="G2" s="4" t="s">
        <v>8</v>
      </c>
      <c r="H2" s="4" t="s">
        <v>9</v>
      </c>
      <c r="I2" s="30">
        <v>43465</v>
      </c>
      <c r="J2" s="4" t="s">
        <v>10</v>
      </c>
    </row>
    <row r="3" spans="1:12" x14ac:dyDescent="0.3">
      <c r="A3" s="5" t="s">
        <v>11</v>
      </c>
      <c r="B3" s="6">
        <v>12.28</v>
      </c>
      <c r="C3" s="5" t="s">
        <v>12</v>
      </c>
      <c r="D3" s="5" t="s">
        <v>13</v>
      </c>
      <c r="E3" s="5" t="s">
        <v>14</v>
      </c>
      <c r="F3" s="5" t="s">
        <v>15</v>
      </c>
      <c r="G3" s="7">
        <v>45867</v>
      </c>
      <c r="H3" s="8">
        <v>41228</v>
      </c>
      <c r="I3" s="9">
        <f>_xlfn.DAYS($I$2,H3)</f>
        <v>2237</v>
      </c>
      <c r="J3" s="7">
        <f>G3*EXP((-0.6931/(B3*365))*I3)</f>
        <v>32454.201249771308</v>
      </c>
    </row>
    <row r="4" spans="1:12" x14ac:dyDescent="0.3">
      <c r="A4" s="5" t="s">
        <v>16</v>
      </c>
      <c r="B4" s="6">
        <v>5730</v>
      </c>
      <c r="C4" s="5" t="s">
        <v>17</v>
      </c>
      <c r="D4" s="5" t="s">
        <v>13</v>
      </c>
      <c r="E4" s="5" t="s">
        <v>18</v>
      </c>
      <c r="F4" s="5" t="s">
        <v>15</v>
      </c>
      <c r="G4" s="7">
        <v>21333</v>
      </c>
      <c r="H4" s="8">
        <v>41213</v>
      </c>
      <c r="I4" s="9">
        <f>_xlfn.DAYS($I$2,H4)</f>
        <v>2252</v>
      </c>
      <c r="J4" s="7">
        <f>G4*EXP((-0.6931/(B4*365))*I4)</f>
        <v>21317.084998503185</v>
      </c>
    </row>
    <row r="5" spans="1:12" x14ac:dyDescent="0.3">
      <c r="A5" s="5" t="s">
        <v>19</v>
      </c>
      <c r="B5" s="6">
        <v>10.5</v>
      </c>
      <c r="C5" s="5" t="s">
        <v>20</v>
      </c>
      <c r="D5" s="5" t="s">
        <v>21</v>
      </c>
      <c r="E5" s="5" t="s">
        <v>22</v>
      </c>
      <c r="F5" s="5" t="s">
        <v>23</v>
      </c>
      <c r="G5" s="7">
        <v>696000</v>
      </c>
      <c r="H5" s="8">
        <v>38353</v>
      </c>
      <c r="I5" s="9">
        <f>_xlfn.DAYS($I$2,H5)</f>
        <v>5112</v>
      </c>
      <c r="J5" s="7">
        <f>G5*EXP((-0.6931/(B5*365))*I5)</f>
        <v>276125.26763150562</v>
      </c>
    </row>
    <row r="6" spans="1:12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8" x14ac:dyDescent="0.35">
      <c r="A7" s="47" t="s">
        <v>25</v>
      </c>
      <c r="B7" s="48"/>
      <c r="C7" s="48"/>
      <c r="D7" s="48"/>
      <c r="E7" s="48"/>
      <c r="F7" s="48"/>
      <c r="G7" s="48"/>
      <c r="H7" s="48"/>
      <c r="I7" s="31"/>
      <c r="J7" s="31"/>
      <c r="K7" s="1" t="s">
        <v>1</v>
      </c>
      <c r="L7" s="2"/>
    </row>
    <row r="8" spans="1:12" ht="28.2" x14ac:dyDescent="0.3">
      <c r="A8" s="3" t="s">
        <v>2</v>
      </c>
      <c r="B8" s="3" t="s">
        <v>3</v>
      </c>
      <c r="C8" s="3" t="s">
        <v>4</v>
      </c>
      <c r="D8" s="3" t="s">
        <v>5</v>
      </c>
      <c r="E8" s="4" t="s">
        <v>6</v>
      </c>
      <c r="F8" s="3" t="s">
        <v>7</v>
      </c>
      <c r="G8" s="4" t="s">
        <v>8</v>
      </c>
      <c r="H8" s="4" t="s">
        <v>9</v>
      </c>
      <c r="I8" s="4" t="s">
        <v>67</v>
      </c>
      <c r="J8" s="4" t="s">
        <v>66</v>
      </c>
      <c r="K8" s="30">
        <v>43465</v>
      </c>
      <c r="L8" s="4" t="s">
        <v>10</v>
      </c>
    </row>
    <row r="9" spans="1:12" x14ac:dyDescent="0.3">
      <c r="A9" s="11" t="s">
        <v>26</v>
      </c>
      <c r="B9" s="12">
        <v>28.8</v>
      </c>
      <c r="C9" s="11" t="s">
        <v>27</v>
      </c>
      <c r="D9" s="11" t="s">
        <v>27</v>
      </c>
      <c r="E9" s="13" t="s">
        <v>27</v>
      </c>
      <c r="F9" s="11" t="s">
        <v>15</v>
      </c>
      <c r="G9" s="14">
        <v>25000</v>
      </c>
      <c r="H9" s="15">
        <v>41213</v>
      </c>
      <c r="I9" s="32">
        <v>0</v>
      </c>
      <c r="J9" s="14">
        <f>G9-(G9*I9/100)</f>
        <v>25000</v>
      </c>
      <c r="K9" s="16">
        <f>_xlfn.DAYS($K$8,H9)</f>
        <v>2252</v>
      </c>
      <c r="L9" s="14">
        <f>J9*EXP((-0.6931/(B9*365))*K9)</f>
        <v>21550.350328609242</v>
      </c>
    </row>
    <row r="10" spans="1:12" x14ac:dyDescent="0.3">
      <c r="A10" s="17" t="s">
        <v>28</v>
      </c>
      <c r="B10" s="18">
        <v>5.2710999999999997</v>
      </c>
      <c r="C10" s="11" t="s">
        <v>27</v>
      </c>
      <c r="D10" s="11" t="s">
        <v>27</v>
      </c>
      <c r="E10" s="11" t="s">
        <v>27</v>
      </c>
      <c r="F10" s="11" t="s">
        <v>15</v>
      </c>
      <c r="G10" s="18">
        <v>15200</v>
      </c>
      <c r="H10" s="8">
        <v>40443</v>
      </c>
      <c r="I10" s="33">
        <v>50</v>
      </c>
      <c r="J10" s="14">
        <f t="shared" ref="J10:J27" si="0">G10-(G10*I10/100)</f>
        <v>7600</v>
      </c>
      <c r="K10" s="12">
        <f>_xlfn.DAYS($K$8,H10)</f>
        <v>3022</v>
      </c>
      <c r="L10" s="18">
        <f>J10*EXP((-0.6931/(B10*365))*K10)</f>
        <v>2558.6461952115719</v>
      </c>
    </row>
    <row r="11" spans="1:12" x14ac:dyDescent="0.3">
      <c r="A11" s="10" t="s">
        <v>29</v>
      </c>
      <c r="B11" s="3"/>
      <c r="C11" s="3"/>
      <c r="D11" s="3"/>
      <c r="E11" s="4"/>
      <c r="F11" s="3"/>
      <c r="G11" s="4"/>
      <c r="H11" s="4"/>
      <c r="I11" s="34"/>
      <c r="J11" s="14"/>
      <c r="K11" s="19"/>
      <c r="L11" s="4"/>
    </row>
    <row r="12" spans="1:12" x14ac:dyDescent="0.3">
      <c r="A12" s="3"/>
      <c r="B12" s="3"/>
      <c r="C12" s="3"/>
      <c r="D12" s="3"/>
      <c r="E12" s="4"/>
      <c r="F12" s="3"/>
      <c r="G12" s="4"/>
      <c r="H12" s="4"/>
      <c r="I12" s="34"/>
      <c r="J12" s="14"/>
      <c r="K12" s="19"/>
      <c r="L12" s="4"/>
    </row>
    <row r="13" spans="1:12" x14ac:dyDescent="0.3">
      <c r="A13" s="20" t="s">
        <v>30</v>
      </c>
      <c r="B13" s="3"/>
      <c r="C13" s="3"/>
      <c r="D13" s="3"/>
      <c r="E13" s="4"/>
      <c r="F13" s="3"/>
      <c r="G13" s="4"/>
      <c r="H13" s="4"/>
      <c r="I13" s="34"/>
      <c r="J13" s="14"/>
      <c r="K13" s="19"/>
      <c r="L13" s="4"/>
    </row>
    <row r="14" spans="1:12" x14ac:dyDescent="0.3">
      <c r="A14" s="11" t="s">
        <v>11</v>
      </c>
      <c r="B14" s="12">
        <v>12.311999999999999</v>
      </c>
      <c r="C14" s="11"/>
      <c r="D14" s="11"/>
      <c r="E14" s="3" t="s">
        <v>31</v>
      </c>
      <c r="F14" s="11"/>
      <c r="G14" s="21">
        <v>55000</v>
      </c>
      <c r="H14" s="22">
        <v>42101</v>
      </c>
      <c r="I14" s="35">
        <v>0</v>
      </c>
      <c r="J14" s="14">
        <f t="shared" si="0"/>
        <v>55000</v>
      </c>
      <c r="K14" s="11">
        <f>_xlfn.DAYS($K$8,H14)</f>
        <v>1364</v>
      </c>
      <c r="L14" s="14">
        <f>G14*EXP((-0.6931/(B14*365))*K14)</f>
        <v>44565.533448504117</v>
      </c>
    </row>
    <row r="15" spans="1:12" x14ac:dyDescent="0.3">
      <c r="A15" s="11" t="s">
        <v>16</v>
      </c>
      <c r="B15" s="12">
        <v>5700</v>
      </c>
      <c r="C15" s="11"/>
      <c r="D15" s="11"/>
      <c r="E15" s="11"/>
      <c r="F15" s="11"/>
      <c r="G15" s="21">
        <v>100000</v>
      </c>
      <c r="H15" s="8">
        <v>40443</v>
      </c>
      <c r="I15" s="33">
        <v>80</v>
      </c>
      <c r="J15" s="14">
        <f t="shared" si="0"/>
        <v>20000</v>
      </c>
      <c r="K15" s="11">
        <f>_xlfn.DAYS($K$8,H15)</f>
        <v>3022</v>
      </c>
      <c r="L15" s="14">
        <f>G15*EXP((-0.6931/(B15*365))*K15)</f>
        <v>99899.375428593921</v>
      </c>
    </row>
    <row r="16" spans="1:12" x14ac:dyDescent="0.3">
      <c r="A16" s="11" t="s">
        <v>32</v>
      </c>
      <c r="B16" s="12">
        <v>2.6029</v>
      </c>
      <c r="C16" s="11"/>
      <c r="D16" s="11"/>
      <c r="E16" s="11"/>
      <c r="F16" s="11"/>
      <c r="G16" s="21">
        <v>580000</v>
      </c>
      <c r="H16" s="8">
        <v>42735</v>
      </c>
      <c r="I16" s="33">
        <v>10</v>
      </c>
      <c r="J16" s="14">
        <f t="shared" si="0"/>
        <v>522000</v>
      </c>
      <c r="K16" s="11">
        <f>_xlfn.DAYS($K$8,H16)</f>
        <v>730</v>
      </c>
      <c r="L16" s="14">
        <f>G16*EXP((-0.6931/(B16*365))*K16)</f>
        <v>340518.09493889322</v>
      </c>
    </row>
    <row r="17" spans="1:12" x14ac:dyDescent="0.3">
      <c r="A17" s="11" t="s">
        <v>33</v>
      </c>
      <c r="B17" s="12">
        <f>14.9574/(24*365)</f>
        <v>1.7074657534246575E-3</v>
      </c>
      <c r="C17" s="11"/>
      <c r="D17" s="11"/>
      <c r="E17" s="11"/>
      <c r="F17" s="11"/>
      <c r="G17" s="21">
        <v>150000</v>
      </c>
      <c r="H17" s="8">
        <v>43403</v>
      </c>
      <c r="I17" s="33">
        <v>100</v>
      </c>
      <c r="J17" s="14">
        <f t="shared" si="0"/>
        <v>0</v>
      </c>
      <c r="K17" s="11">
        <f>_xlfn.DAYS($K$8,H17)</f>
        <v>62</v>
      </c>
      <c r="L17" s="14">
        <f>G17*EXP((-0.6931/(B17*365))*K17)</f>
        <v>1.701782255004779E-25</v>
      </c>
    </row>
    <row r="18" spans="1:12" x14ac:dyDescent="0.3">
      <c r="A18" s="44" t="s">
        <v>34</v>
      </c>
      <c r="B18" s="45">
        <f>9.458/(60*24*365)</f>
        <v>1.7994672754946729E-5</v>
      </c>
      <c r="C18" s="11"/>
      <c r="D18" s="11"/>
      <c r="E18" s="11"/>
      <c r="F18" s="11"/>
      <c r="G18" s="21" t="s">
        <v>35</v>
      </c>
      <c r="H18" s="11" t="s">
        <v>35</v>
      </c>
      <c r="I18" s="35"/>
      <c r="J18" s="14"/>
      <c r="K18" s="11" t="s">
        <v>35</v>
      </c>
      <c r="L18" s="14" t="s">
        <v>35</v>
      </c>
    </row>
    <row r="19" spans="1:12" x14ac:dyDescent="0.3">
      <c r="A19" s="11" t="s">
        <v>36</v>
      </c>
      <c r="B19" s="12">
        <f>14.284/(24*365)</f>
        <v>1.6305936073059361E-3</v>
      </c>
      <c r="C19" s="11"/>
      <c r="D19" s="11"/>
      <c r="E19" s="11"/>
      <c r="F19" s="11"/>
      <c r="G19" s="21">
        <v>1000000</v>
      </c>
      <c r="H19" s="8">
        <v>43403</v>
      </c>
      <c r="I19" s="33">
        <v>0.5</v>
      </c>
      <c r="J19" s="14">
        <f t="shared" si="0"/>
        <v>995000</v>
      </c>
      <c r="K19" s="11">
        <f>_xlfn.DAYS($K$8,H19)</f>
        <v>62</v>
      </c>
      <c r="L19" s="14">
        <f>G19*EXP((-0.6931/(B19*365))*K19)</f>
        <v>4.3962976370346603E-26</v>
      </c>
    </row>
    <row r="20" spans="1:12" x14ac:dyDescent="0.3">
      <c r="A20" s="11" t="s">
        <v>37</v>
      </c>
      <c r="B20" s="12">
        <f>25.383/(24*365)</f>
        <v>2.8976027397260274E-3</v>
      </c>
      <c r="C20" s="11"/>
      <c r="D20" s="11"/>
      <c r="E20" s="11"/>
      <c r="F20" s="11"/>
      <c r="G20" s="21">
        <v>580000</v>
      </c>
      <c r="H20" s="8">
        <v>43403</v>
      </c>
      <c r="I20" s="33">
        <v>0</v>
      </c>
      <c r="J20" s="14">
        <f t="shared" si="0"/>
        <v>580000</v>
      </c>
      <c r="K20" s="11">
        <f>_xlfn.DAYS($K$8,H20)</f>
        <v>62</v>
      </c>
      <c r="L20" s="14">
        <f>G20*EXP((-0.6931/(B20*365))*K20)</f>
        <v>1.3112187928309551E-12</v>
      </c>
    </row>
    <row r="21" spans="1:12" x14ac:dyDescent="0.3">
      <c r="A21" s="5" t="s">
        <v>38</v>
      </c>
      <c r="B21" s="9">
        <v>302000</v>
      </c>
      <c r="C21" s="11"/>
      <c r="D21" s="11"/>
      <c r="E21" s="11"/>
      <c r="F21" s="11"/>
      <c r="G21" s="21">
        <v>15000</v>
      </c>
      <c r="H21" s="8">
        <v>42735</v>
      </c>
      <c r="I21" s="33">
        <v>0</v>
      </c>
      <c r="J21" s="14">
        <f t="shared" si="0"/>
        <v>15000</v>
      </c>
      <c r="K21" s="11">
        <f>_xlfn.DAYS($K$8,H21)</f>
        <v>730</v>
      </c>
      <c r="L21" s="14">
        <f>G21*EXP((-0.6931/(B21*365))*K21)</f>
        <v>14999.931149164637</v>
      </c>
    </row>
    <row r="22" spans="1:12" x14ac:dyDescent="0.3">
      <c r="A22" s="44" t="s">
        <v>39</v>
      </c>
      <c r="B22" s="45">
        <f>37.24/(60*24*365)</f>
        <v>7.0852359208523595E-5</v>
      </c>
      <c r="C22" s="11"/>
      <c r="D22" s="11"/>
      <c r="E22" s="11"/>
      <c r="F22" s="11"/>
      <c r="G22" s="21" t="s">
        <v>35</v>
      </c>
      <c r="H22" s="11" t="s">
        <v>35</v>
      </c>
      <c r="I22" s="35"/>
      <c r="J22" s="14"/>
      <c r="K22" s="11" t="s">
        <v>35</v>
      </c>
      <c r="L22" s="14" t="s">
        <v>35</v>
      </c>
    </row>
    <row r="23" spans="1:12" x14ac:dyDescent="0.3">
      <c r="A23" s="11" t="s">
        <v>40</v>
      </c>
      <c r="B23" s="12">
        <f>12.359/(24*365)</f>
        <v>1.4108447488584475E-3</v>
      </c>
      <c r="C23" s="11"/>
      <c r="D23" s="11"/>
      <c r="E23" s="11"/>
      <c r="F23" s="11"/>
      <c r="G23" s="21">
        <v>95000</v>
      </c>
      <c r="H23" s="8">
        <v>43403</v>
      </c>
      <c r="I23" s="33">
        <v>0</v>
      </c>
      <c r="J23" s="14">
        <f t="shared" si="0"/>
        <v>95000</v>
      </c>
      <c r="K23" s="11">
        <f>_xlfn.DAYS($K$8,H23)</f>
        <v>62</v>
      </c>
      <c r="L23" s="14">
        <f>G23*EXP((-0.6931/(B23*365))*K23)</f>
        <v>5.4544874123262327E-32</v>
      </c>
    </row>
    <row r="24" spans="1:12" x14ac:dyDescent="0.3">
      <c r="A24" s="11" t="s">
        <v>41</v>
      </c>
      <c r="B24" s="11">
        <f>162.64/365</f>
        <v>0.44558904109589037</v>
      </c>
      <c r="C24" s="11"/>
      <c r="D24" s="11"/>
      <c r="E24" s="11"/>
      <c r="F24" s="11"/>
      <c r="G24" s="21">
        <v>1000</v>
      </c>
      <c r="H24" s="8">
        <v>42735</v>
      </c>
      <c r="I24" s="33">
        <v>0</v>
      </c>
      <c r="J24" s="14">
        <f t="shared" si="0"/>
        <v>1000</v>
      </c>
      <c r="K24" s="11">
        <f>_xlfn.DAYS($K$8,H24)</f>
        <v>730</v>
      </c>
      <c r="L24" s="14">
        <f>G24*EXP((-0.6931/(B24*365))*K24)</f>
        <v>44.559127291788592</v>
      </c>
    </row>
    <row r="25" spans="1:12" x14ac:dyDescent="0.3">
      <c r="A25" s="44" t="s">
        <v>42</v>
      </c>
      <c r="B25" s="45">
        <f>8.718/(60*24*365)</f>
        <v>1.6586757990867579E-5</v>
      </c>
      <c r="C25" s="11"/>
      <c r="D25" s="11"/>
      <c r="E25" s="11"/>
      <c r="F25" s="11"/>
      <c r="G25" s="21" t="s">
        <v>35</v>
      </c>
      <c r="H25" s="11" t="s">
        <v>35</v>
      </c>
      <c r="I25" s="35"/>
      <c r="J25" s="14"/>
      <c r="K25" s="11" t="s">
        <v>35</v>
      </c>
      <c r="L25" s="14" t="s">
        <v>35</v>
      </c>
    </row>
    <row r="26" spans="1:12" x14ac:dyDescent="0.3">
      <c r="A26" s="17" t="s">
        <v>43</v>
      </c>
      <c r="B26" s="11">
        <f>27.703/365</f>
        <v>7.5898630136986306E-2</v>
      </c>
      <c r="C26" s="24"/>
      <c r="D26" s="24"/>
      <c r="E26" s="11"/>
      <c r="F26" s="11"/>
      <c r="G26" s="18">
        <f>19.55*5*1.016*1000</f>
        <v>99314</v>
      </c>
      <c r="H26" s="8">
        <v>41904</v>
      </c>
      <c r="I26" s="33">
        <v>0</v>
      </c>
      <c r="J26" s="14">
        <f t="shared" si="0"/>
        <v>99314</v>
      </c>
      <c r="K26" s="12">
        <f>_xlfn.DAYS($I$2,H26)</f>
        <v>1561</v>
      </c>
      <c r="L26" s="14">
        <f>G26*EXP((-0.6931/(B26*365))*K26)</f>
        <v>1.0859773953986151E-12</v>
      </c>
    </row>
    <row r="27" spans="1:12" x14ac:dyDescent="0.3">
      <c r="A27" s="11" t="s">
        <v>44</v>
      </c>
      <c r="B27" s="12">
        <v>2.7469999999999999</v>
      </c>
      <c r="C27" s="11"/>
      <c r="D27" s="11"/>
      <c r="E27" s="11"/>
      <c r="F27" s="11"/>
      <c r="G27" s="21">
        <v>60000</v>
      </c>
      <c r="H27" s="22">
        <v>42101</v>
      </c>
      <c r="I27" s="35">
        <v>0</v>
      </c>
      <c r="J27" s="14">
        <f t="shared" si="0"/>
        <v>60000</v>
      </c>
      <c r="K27" s="12">
        <f>_xlfn.DAYS($I$2,H27)</f>
        <v>1364</v>
      </c>
      <c r="L27" s="14">
        <f>G27*EXP((-0.6931/(B27*365))*K27)</f>
        <v>23370.148948073915</v>
      </c>
    </row>
    <row r="28" spans="1:12" x14ac:dyDescent="0.3">
      <c r="A28" s="11" t="s">
        <v>45</v>
      </c>
      <c r="B28" s="12">
        <f>44.495/365</f>
        <v>0.12190410958904109</v>
      </c>
      <c r="C28" s="11"/>
      <c r="D28" s="11"/>
      <c r="E28" s="11"/>
      <c r="F28" s="11"/>
      <c r="G28" s="21"/>
      <c r="H28" s="11"/>
      <c r="I28" s="35"/>
      <c r="J28" s="21"/>
      <c r="K28" s="11"/>
      <c r="L28" s="11"/>
    </row>
    <row r="29" spans="1:12" x14ac:dyDescent="0.3">
      <c r="A29" s="44" t="s">
        <v>46</v>
      </c>
      <c r="B29" s="45">
        <f>2.57878/(24*365)</f>
        <v>2.9438127853881281E-4</v>
      </c>
      <c r="C29" s="11"/>
      <c r="D29" s="11"/>
      <c r="E29" s="11"/>
      <c r="F29" s="11"/>
      <c r="G29" s="21"/>
      <c r="H29" s="11"/>
      <c r="I29" s="35"/>
      <c r="J29" s="21"/>
      <c r="K29" s="11"/>
      <c r="L29" s="11"/>
    </row>
    <row r="30" spans="1:12" x14ac:dyDescent="0.3">
      <c r="A30" s="17" t="s">
        <v>47</v>
      </c>
      <c r="B30" s="25">
        <f>271.8/365</f>
        <v>0.74465753424657533</v>
      </c>
      <c r="C30" s="26"/>
      <c r="D30" s="11"/>
      <c r="E30" s="11"/>
      <c r="F30" s="11"/>
      <c r="G30" s="18"/>
      <c r="H30" s="8"/>
      <c r="I30" s="33"/>
      <c r="J30" s="7"/>
      <c r="K30" s="12"/>
      <c r="L30" s="18"/>
    </row>
    <row r="31" spans="1:12" x14ac:dyDescent="0.3">
      <c r="A31" s="17" t="s">
        <v>28</v>
      </c>
      <c r="B31" s="25">
        <v>5.2710999999999997</v>
      </c>
      <c r="C31" s="11"/>
      <c r="D31" s="11"/>
      <c r="E31" s="11"/>
      <c r="F31" s="11"/>
      <c r="G31" s="18"/>
      <c r="H31" s="8"/>
      <c r="I31" s="33"/>
      <c r="J31" s="7"/>
      <c r="K31" s="12"/>
      <c r="L31" s="18"/>
    </row>
    <row r="32" spans="1:12" x14ac:dyDescent="0.3">
      <c r="A32" s="11" t="s">
        <v>48</v>
      </c>
      <c r="B32" s="12">
        <v>98.7</v>
      </c>
      <c r="C32" s="11"/>
      <c r="D32" s="11"/>
      <c r="E32" s="11"/>
      <c r="F32" s="11"/>
      <c r="G32" s="21"/>
      <c r="H32" s="11"/>
      <c r="I32" s="35"/>
      <c r="J32" s="21"/>
      <c r="K32" s="11"/>
      <c r="L32" s="11"/>
    </row>
    <row r="33" spans="1:12" x14ac:dyDescent="0.3">
      <c r="A33" s="11" t="s">
        <v>49</v>
      </c>
      <c r="B33" s="12">
        <f>12.7004/(24*365)</f>
        <v>1.4498173515981735E-3</v>
      </c>
      <c r="C33" s="11"/>
      <c r="D33" s="11"/>
      <c r="E33" s="11"/>
      <c r="F33" s="11"/>
      <c r="G33" s="21"/>
      <c r="H33" s="11"/>
      <c r="I33" s="35"/>
      <c r="J33" s="21"/>
      <c r="K33" s="11"/>
      <c r="L33" s="11"/>
    </row>
    <row r="34" spans="1:12" x14ac:dyDescent="0.3">
      <c r="A34" s="44" t="s">
        <v>50</v>
      </c>
      <c r="B34" s="46">
        <f>5.12/(60*24*365)</f>
        <v>9.7412480974124808E-6</v>
      </c>
      <c r="C34" s="11"/>
      <c r="D34" s="11"/>
      <c r="E34" s="11"/>
      <c r="F34" s="11"/>
      <c r="G34" s="21"/>
      <c r="H34" s="11"/>
      <c r="I34" s="35"/>
      <c r="J34" s="21"/>
      <c r="K34" s="11"/>
      <c r="L34" s="11"/>
    </row>
    <row r="35" spans="1:12" x14ac:dyDescent="0.3">
      <c r="A35" s="11" t="s">
        <v>51</v>
      </c>
      <c r="B35" s="12">
        <f>244.01/365</f>
        <v>0.66852054794520543</v>
      </c>
      <c r="C35" s="11"/>
      <c r="D35" s="11"/>
      <c r="E35" s="11"/>
      <c r="F35" s="11"/>
      <c r="G35" s="21"/>
      <c r="H35" s="11"/>
      <c r="I35" s="35"/>
      <c r="J35" s="21"/>
      <c r="K35" s="11"/>
      <c r="L35" s="11"/>
    </row>
    <row r="36" spans="1:12" x14ac:dyDescent="0.3">
      <c r="A36" s="11" t="s">
        <v>52</v>
      </c>
      <c r="B36" s="12">
        <f>13.76/(24*365)</f>
        <v>1.5707762557077625E-3</v>
      </c>
      <c r="C36" s="11"/>
      <c r="D36" s="11"/>
      <c r="E36" s="11"/>
      <c r="F36" s="11"/>
      <c r="G36" s="21"/>
      <c r="H36" s="11"/>
      <c r="I36" s="35"/>
      <c r="J36" s="21"/>
      <c r="K36" s="11"/>
      <c r="L36" s="11"/>
    </row>
    <row r="37" spans="1:12" x14ac:dyDescent="0.3">
      <c r="A37" s="17" t="s">
        <v>53</v>
      </c>
      <c r="B37" s="25">
        <f>64.85/365</f>
        <v>0.17767123287671233</v>
      </c>
      <c r="C37" s="11"/>
      <c r="D37" s="11"/>
      <c r="E37" s="11"/>
      <c r="F37" s="11"/>
      <c r="G37" s="18"/>
      <c r="H37" s="8"/>
      <c r="I37" s="33"/>
      <c r="J37" s="7"/>
      <c r="K37" s="12"/>
      <c r="L37" s="18"/>
    </row>
    <row r="38" spans="1:12" x14ac:dyDescent="0.3">
      <c r="A38" s="17" t="s">
        <v>54</v>
      </c>
      <c r="B38" s="25">
        <f>106.626/365</f>
        <v>0.29212602739726029</v>
      </c>
      <c r="C38" s="11"/>
      <c r="D38" s="11"/>
      <c r="E38" s="11"/>
      <c r="F38" s="11"/>
      <c r="G38" s="18"/>
      <c r="H38" s="8"/>
      <c r="I38" s="33"/>
      <c r="J38" s="7"/>
      <c r="K38" s="12"/>
      <c r="L38" s="18"/>
    </row>
    <row r="39" spans="1:12" x14ac:dyDescent="0.3">
      <c r="A39" s="11" t="s">
        <v>26</v>
      </c>
      <c r="B39" s="12">
        <v>28.8</v>
      </c>
      <c r="C39" s="11"/>
      <c r="D39" s="11"/>
      <c r="E39" s="11"/>
      <c r="F39" s="11"/>
      <c r="G39" s="21"/>
      <c r="H39" s="11"/>
      <c r="I39" s="35"/>
      <c r="J39" s="21"/>
      <c r="K39" s="11"/>
      <c r="L39" s="11"/>
    </row>
    <row r="40" spans="1:12" x14ac:dyDescent="0.3">
      <c r="A40" s="17" t="s">
        <v>55</v>
      </c>
      <c r="B40" s="25">
        <f>461.4/365</f>
        <v>1.2641095890410958</v>
      </c>
      <c r="C40" s="11"/>
      <c r="D40" s="11"/>
      <c r="E40" s="11"/>
      <c r="F40" s="11"/>
      <c r="G40" s="18"/>
      <c r="H40" s="8"/>
      <c r="I40" s="33"/>
      <c r="J40" s="7"/>
      <c r="K40" s="12"/>
      <c r="L40" s="18"/>
    </row>
    <row r="41" spans="1:12" x14ac:dyDescent="0.3">
      <c r="A41" s="17" t="s">
        <v>56</v>
      </c>
      <c r="B41" s="25">
        <f>115.09/365</f>
        <v>0.31531506849315072</v>
      </c>
      <c r="C41" s="11"/>
      <c r="D41" s="11"/>
      <c r="E41" s="11"/>
      <c r="F41" s="11"/>
      <c r="G41" s="18"/>
      <c r="H41" s="8"/>
      <c r="I41" s="33"/>
      <c r="J41" s="7"/>
      <c r="K41" s="12"/>
      <c r="L41" s="18"/>
    </row>
    <row r="42" spans="1:12" x14ac:dyDescent="0.3">
      <c r="A42" s="11" t="s">
        <v>57</v>
      </c>
      <c r="B42" s="12">
        <f>59.388/365</f>
        <v>0.16270684931506849</v>
      </c>
      <c r="C42" s="11"/>
      <c r="D42" s="11"/>
      <c r="E42" s="11"/>
      <c r="F42" s="11"/>
      <c r="G42" s="21"/>
      <c r="H42" s="11"/>
      <c r="I42" s="35"/>
      <c r="J42" s="21"/>
      <c r="K42" s="11"/>
      <c r="L42" s="11"/>
    </row>
    <row r="43" spans="1:12" x14ac:dyDescent="0.3">
      <c r="A43" s="11" t="s">
        <v>58</v>
      </c>
      <c r="B43" s="9">
        <f>16.1*10^6</f>
        <v>16100000.000000002</v>
      </c>
      <c r="C43" s="11"/>
      <c r="D43" s="11"/>
      <c r="E43" s="11"/>
      <c r="F43" s="11"/>
      <c r="G43" s="21"/>
      <c r="H43" s="11"/>
      <c r="I43" s="35"/>
      <c r="J43" s="21"/>
      <c r="K43" s="11"/>
      <c r="L43" s="11"/>
    </row>
    <row r="44" spans="1:12" x14ac:dyDescent="0.3">
      <c r="A44" s="17" t="s">
        <v>59</v>
      </c>
      <c r="B44" s="25">
        <v>30.05</v>
      </c>
      <c r="C44" s="11"/>
      <c r="D44" s="11"/>
      <c r="E44" s="11"/>
      <c r="F44" s="11"/>
      <c r="G44" s="18"/>
      <c r="H44" s="8"/>
      <c r="I44" s="33"/>
      <c r="J44" s="7"/>
      <c r="K44" s="12"/>
      <c r="L44" s="18"/>
    </row>
    <row r="45" spans="1:12" x14ac:dyDescent="0.3">
      <c r="A45" s="17" t="s">
        <v>60</v>
      </c>
      <c r="B45" s="25">
        <f>137.641/365</f>
        <v>0.3770986301369863</v>
      </c>
      <c r="C45" s="11"/>
      <c r="D45" s="11"/>
      <c r="E45" s="11"/>
      <c r="F45" s="11"/>
      <c r="G45" s="18"/>
      <c r="H45" s="8"/>
      <c r="I45" s="33"/>
      <c r="J45" s="7"/>
      <c r="K45" s="12"/>
      <c r="L45" s="18"/>
    </row>
    <row r="46" spans="1:12" x14ac:dyDescent="0.3">
      <c r="A46" s="11" t="s">
        <v>61</v>
      </c>
      <c r="B46" s="12">
        <v>13.522</v>
      </c>
      <c r="C46" s="27"/>
      <c r="D46" s="27"/>
      <c r="E46" s="27"/>
      <c r="F46" s="27"/>
      <c r="G46" s="28"/>
      <c r="H46" s="27"/>
      <c r="I46" s="36"/>
      <c r="J46" s="28"/>
      <c r="K46" s="29"/>
      <c r="L46" s="27"/>
    </row>
    <row r="47" spans="1:12" x14ac:dyDescent="0.3">
      <c r="A47" s="11" t="s">
        <v>62</v>
      </c>
      <c r="B47" s="12">
        <f>138.3763/365</f>
        <v>0.37911315068493145</v>
      </c>
      <c r="C47" s="27"/>
      <c r="D47" s="27"/>
      <c r="E47" s="27"/>
      <c r="F47" s="27"/>
      <c r="G47" s="28"/>
      <c r="H47" s="27"/>
      <c r="I47" s="36"/>
      <c r="J47" s="28"/>
      <c r="K47" s="29"/>
      <c r="L47" s="27"/>
    </row>
    <row r="48" spans="1:12" x14ac:dyDescent="0.3">
      <c r="A48" s="17" t="s">
        <v>63</v>
      </c>
      <c r="B48" s="12">
        <v>1600</v>
      </c>
      <c r="C48" s="11"/>
      <c r="D48" s="11"/>
      <c r="E48" s="11"/>
      <c r="F48" s="11"/>
      <c r="G48" s="21"/>
      <c r="H48" s="11"/>
      <c r="I48" s="35"/>
      <c r="J48" s="21"/>
      <c r="K48" s="11"/>
      <c r="L48" s="11"/>
    </row>
    <row r="49" spans="1:12" x14ac:dyDescent="0.3">
      <c r="A49" s="17" t="s">
        <v>64</v>
      </c>
      <c r="B49" s="12">
        <f>4.468*10^9</f>
        <v>4468000000</v>
      </c>
      <c r="C49" s="11"/>
      <c r="D49" s="11"/>
      <c r="E49" s="11"/>
      <c r="F49" s="11"/>
      <c r="G49" s="21"/>
      <c r="H49" s="11"/>
      <c r="I49" s="35"/>
      <c r="J49" s="21"/>
      <c r="K49" s="11"/>
      <c r="L49" s="11"/>
    </row>
    <row r="50" spans="1:12" x14ac:dyDescent="0.3">
      <c r="A50" s="17" t="s">
        <v>65</v>
      </c>
      <c r="B50" s="25">
        <v>432.6</v>
      </c>
      <c r="C50" s="11"/>
      <c r="D50" s="11"/>
      <c r="E50" s="11"/>
      <c r="F50" s="11"/>
      <c r="G50" s="18"/>
      <c r="H50" s="8"/>
      <c r="I50" s="33"/>
      <c r="J50" s="7"/>
      <c r="K50" s="12"/>
      <c r="L50" s="18"/>
    </row>
    <row r="51" spans="1:12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9"/>
      <c r="L51" s="27"/>
    </row>
    <row r="52" spans="1:12" x14ac:dyDescent="0.3">
      <c r="A52" s="42" t="s">
        <v>72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2" x14ac:dyDescent="0.3">
      <c r="A53" s="42" t="s">
        <v>73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2" x14ac:dyDescent="0.3">
      <c r="A54" s="42" t="s">
        <v>75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2" x14ac:dyDescent="0.3">
      <c r="A55" s="42" t="s">
        <v>68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2" x14ac:dyDescent="0.3">
      <c r="A56" s="42" t="s">
        <v>74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2" x14ac:dyDescent="0.3">
      <c r="A57" s="37"/>
    </row>
    <row r="58" spans="1:12" x14ac:dyDescent="0.3">
      <c r="A58" s="38" t="s">
        <v>69</v>
      </c>
      <c r="B58" s="23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3">
      <c r="A59" s="39" t="s">
        <v>70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5"/>
    </row>
    <row r="60" spans="1:12" x14ac:dyDescent="0.3">
      <c r="A60" s="39" t="s">
        <v>71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5"/>
    </row>
    <row r="61" spans="1:12" x14ac:dyDescent="0.3">
      <c r="A61" s="38" t="s">
        <v>76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5"/>
    </row>
    <row r="62" spans="1:12" x14ac:dyDescent="0.3">
      <c r="A62" s="38" t="s">
        <v>77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1"/>
    </row>
    <row r="63" spans="1:12" x14ac:dyDescent="0.3">
      <c r="A63" s="38" t="s">
        <v>78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1"/>
    </row>
  </sheetData>
  <mergeCells count="2">
    <mergeCell ref="A1:H1"/>
    <mergeCell ref="A7:H7"/>
  </mergeCells>
  <printOptions gridLines="1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milani</dc:creator>
  <cp:lastModifiedBy>Cecilia Zonta</cp:lastModifiedBy>
  <cp:lastPrinted>2019-03-14T14:00:07Z</cp:lastPrinted>
  <dcterms:created xsi:type="dcterms:W3CDTF">2018-11-15T17:39:27Z</dcterms:created>
  <dcterms:modified xsi:type="dcterms:W3CDTF">2019-03-14T14:58:15Z</dcterms:modified>
</cp:coreProperties>
</file>